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dulguun/Downloads/"/>
    </mc:Choice>
  </mc:AlternateContent>
  <xr:revisionPtr revIDLastSave="0" documentId="13_ncr:1_{3DD2C138-CA47-0E47-B804-6E31E6BFF024}" xr6:coauthVersionLast="47" xr6:coauthVersionMax="47" xr10:uidLastSave="{00000000-0000-0000-0000-000000000000}"/>
  <bookViews>
    <workbookView xWindow="0" yWindow="500" windowWidth="3490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Q15" i="1"/>
  <c r="J15" i="1"/>
  <c r="I15" i="1"/>
  <c r="D15" i="1"/>
  <c r="B15" i="1"/>
  <c r="P14" i="1"/>
  <c r="O14" i="1"/>
  <c r="N14" i="1"/>
  <c r="M14" i="1"/>
  <c r="L14" i="1"/>
  <c r="K14" i="1"/>
  <c r="H14" i="1"/>
  <c r="H15" i="1" s="1"/>
  <c r="E14" i="1"/>
  <c r="C14" i="1"/>
  <c r="P13" i="1"/>
  <c r="O13" i="1"/>
  <c r="N13" i="1"/>
  <c r="M13" i="1"/>
  <c r="L13" i="1"/>
  <c r="K13" i="1"/>
  <c r="E13" i="1"/>
  <c r="C13" i="1"/>
  <c r="P12" i="1"/>
  <c r="O12" i="1"/>
  <c r="N12" i="1"/>
  <c r="M12" i="1"/>
  <c r="M15" i="1" s="1"/>
  <c r="L12" i="1"/>
  <c r="K12" i="1"/>
  <c r="E12" i="1"/>
  <c r="C12" i="1"/>
  <c r="R11" i="1"/>
  <c r="Q11" i="1"/>
  <c r="Q16" i="1" s="1"/>
  <c r="J11" i="1"/>
  <c r="J16" i="1" s="1"/>
  <c r="I11" i="1"/>
  <c r="H11" i="1"/>
  <c r="G11" i="1"/>
  <c r="G16" i="1" s="1"/>
  <c r="B11" i="1"/>
  <c r="B16" i="1" s="1"/>
  <c r="N10" i="1"/>
  <c r="M10" i="1"/>
  <c r="L10" i="1"/>
  <c r="K10" i="1"/>
  <c r="E10" i="1"/>
  <c r="C10" i="1"/>
  <c r="F10" i="1" s="1"/>
  <c r="P9" i="1"/>
  <c r="O9" i="1"/>
  <c r="N9" i="1"/>
  <c r="M9" i="1"/>
  <c r="L9" i="1"/>
  <c r="K9" i="1"/>
  <c r="E9" i="1"/>
  <c r="C9" i="1"/>
  <c r="F9" i="1" s="1"/>
  <c r="P8" i="1"/>
  <c r="O8" i="1"/>
  <c r="N8" i="1"/>
  <c r="M8" i="1"/>
  <c r="L8" i="1"/>
  <c r="K8" i="1"/>
  <c r="E8" i="1"/>
  <c r="C8" i="1"/>
  <c r="N7" i="1"/>
  <c r="M7" i="1"/>
  <c r="L7" i="1"/>
  <c r="K7" i="1"/>
  <c r="E7" i="1"/>
  <c r="C7" i="1"/>
  <c r="P6" i="1"/>
  <c r="O6" i="1"/>
  <c r="O11" i="1" s="1"/>
  <c r="N6" i="1"/>
  <c r="N11" i="1" s="1"/>
  <c r="M6" i="1"/>
  <c r="L6" i="1"/>
  <c r="K6" i="1"/>
  <c r="E6" i="1"/>
  <c r="D6" i="1"/>
  <c r="D11" i="1" s="1"/>
  <c r="C6" i="1"/>
  <c r="E15" i="1" l="1"/>
  <c r="F8" i="1"/>
  <c r="D16" i="1"/>
  <c r="F7" i="1"/>
  <c r="L11" i="1"/>
  <c r="L16" i="1" s="1"/>
  <c r="I16" i="1"/>
  <c r="L15" i="1"/>
  <c r="K11" i="1"/>
  <c r="K16" i="1" s="1"/>
  <c r="M11" i="1"/>
  <c r="M16" i="1" s="1"/>
  <c r="F12" i="1"/>
  <c r="F15" i="1" s="1"/>
  <c r="F14" i="1"/>
  <c r="C15" i="1"/>
  <c r="H16" i="1"/>
  <c r="K15" i="1"/>
  <c r="O15" i="1"/>
  <c r="O16" i="1" s="1"/>
  <c r="F13" i="1"/>
  <c r="N15" i="1"/>
  <c r="N16" i="1" s="1"/>
  <c r="E11" i="1"/>
  <c r="E16" i="1" s="1"/>
  <c r="F6" i="1"/>
  <c r="F11" i="1" s="1"/>
  <c r="P11" i="1"/>
  <c r="C11" i="1"/>
  <c r="C16" i="1" s="1"/>
  <c r="R16" i="1"/>
  <c r="R17" i="1" s="1"/>
  <c r="R21" i="1" s="1"/>
  <c r="P15" i="1"/>
  <c r="P16" i="1" l="1"/>
  <c r="F16" i="1"/>
  <c r="F17" i="1" s="1"/>
  <c r="R19" i="1" s="1"/>
  <c r="R22" i="1" s="1"/>
  <c r="P17" i="1"/>
  <c r="R20" i="1" s="1"/>
</calcChain>
</file>

<file path=xl/sharedStrings.xml><?xml version="1.0" encoding="utf-8"?>
<sst xmlns="http://schemas.openxmlformats.org/spreadsheetml/2006/main" count="42" uniqueCount="32">
  <si>
    <t>ШҮҮХ БАЙГУУЛАХ ХУУЛИЙН ТӨСЛИЙН ТӨСВИЙН ТӨСӨӨЛЛИЙН СУДАЛГАА</t>
  </si>
  <si>
    <t xml:space="preserve"> /мян.төг/</t>
  </si>
  <si>
    <t>Шүүхийн харьяалал</t>
  </si>
  <si>
    <t>Албан контор</t>
  </si>
  <si>
    <t>Шүүгч</t>
  </si>
  <si>
    <t>Шүүхийн захиргааны ажилтан</t>
  </si>
  <si>
    <t>Нийгмийн даатгал</t>
  </si>
  <si>
    <t>Шүүхийн цахимжуулалтын зардал</t>
  </si>
  <si>
    <t>Конторын барилга /шинээр/</t>
  </si>
  <si>
    <t>Конторын барилгын ашиглалтын зардал</t>
  </si>
  <si>
    <t>Тээврийн хэрэгсэл</t>
  </si>
  <si>
    <t>Шүүгчийн</t>
  </si>
  <si>
    <t xml:space="preserve">Шүүх хуралдааны танхимын </t>
  </si>
  <si>
    <t>Бусад</t>
  </si>
  <si>
    <t>тоо</t>
  </si>
  <si>
    <t>цалингийн сан</t>
  </si>
  <si>
    <t>тавилга, эд хогшил</t>
  </si>
  <si>
    <t>тоног тоөхөөрөмж</t>
  </si>
  <si>
    <t>жижиг эд зүйл /тамга, хаяг г.м/</t>
  </si>
  <si>
    <t>тоног төхөөрөмж</t>
  </si>
  <si>
    <t>Захиргааны хэргийн давж заалдах шатны шүүх</t>
  </si>
  <si>
    <t>Нийслэлийн Эрүүгийн хэргийн давж заалдах шатны шүүх</t>
  </si>
  <si>
    <t>Нийслэлийн Иргэний хэргийн давж заалдах шатны шүүх</t>
  </si>
  <si>
    <t>Гэр бүл, хүүхдийн хэргийн давж заалдах шатны шүүх</t>
  </si>
  <si>
    <t>Аймаг дахь давж заалдах шатны шүүх</t>
  </si>
  <si>
    <t>Нийслэл дэх гэр бүл, хүүхдийн анхан шатны тойргийн шүүх</t>
  </si>
  <si>
    <t>Хялбар ажиллагааны шүүх</t>
  </si>
  <si>
    <t>Нийслэлийн дүүргийн тойргийн анхан шатны шүүх</t>
  </si>
  <si>
    <t>Хүний нөөцийн зардал</t>
  </si>
  <si>
    <t>Материаллаг зардал</t>
  </si>
  <si>
    <t>Бусад зардал</t>
  </si>
  <si>
    <t>Төслийн арга хэмжээний нийт зардал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</si>
</sst>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2" fillId="2" borderId="0" xfId="0" applyFont="1" applyFill="1" applyAlignment="1">
      <alignment horizontal="right"/>
    </xf>
    <xf numFmtId="164" fontId="2" fillId="2" borderId="0" xfId="1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5" fontId="3" fillId="7" borderId="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5" fontId="3" fillId="7" borderId="1" xfId="1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166" fontId="2" fillId="2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166" fontId="2" fillId="0" borderId="0" xfId="0" applyNumberFormat="1" applyFont="1" applyAlignment="1">
      <alignment horizontal="left"/>
    </xf>
    <xf numFmtId="164" fontId="2" fillId="2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A5" workbookViewId="0">
      <selection activeCell="E8" sqref="E8"/>
    </sheetView>
  </sheetViews>
  <sheetFormatPr baseColWidth="10" defaultColWidth="12.5" defaultRowHeight="16" x14ac:dyDescent="0.2"/>
  <cols>
    <col min="1" max="1" width="20.5" style="1" customWidth="1"/>
    <col min="2" max="2" width="6.6640625" style="1" customWidth="1"/>
    <col min="3" max="3" width="13" style="1" customWidth="1"/>
    <col min="4" max="4" width="6.83203125" style="1" customWidth="1"/>
    <col min="5" max="5" width="14.83203125" style="1" customWidth="1"/>
    <col min="6" max="6" width="13.33203125" style="1" customWidth="1"/>
    <col min="7" max="7" width="13.6640625" style="1" customWidth="1"/>
    <col min="8" max="8" width="15.33203125" style="1" customWidth="1"/>
    <col min="9" max="9" width="14.5" style="1" customWidth="1"/>
    <col min="10" max="10" width="13.5" style="1" customWidth="1"/>
    <col min="11" max="11" width="12.5" style="1"/>
    <col min="12" max="12" width="13.83203125" style="1" customWidth="1"/>
    <col min="13" max="13" width="14.33203125" style="1" customWidth="1"/>
    <col min="14" max="14" width="15.5" style="1" customWidth="1"/>
    <col min="15" max="15" width="14.1640625" style="1" customWidth="1"/>
    <col min="16" max="16" width="16.1640625" style="1" customWidth="1"/>
    <col min="17" max="17" width="13.33203125" style="1" customWidth="1"/>
    <col min="18" max="18" width="14.33203125" style="1" customWidth="1"/>
    <col min="19" max="16384" width="12.5" style="1"/>
  </cols>
  <sheetData>
    <row r="1" spans="1:2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37"/>
      <c r="T1" s="37"/>
      <c r="U1" s="37"/>
    </row>
    <row r="2" spans="1:21" x14ac:dyDescent="0.2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</v>
      </c>
    </row>
    <row r="3" spans="1:21" ht="39.75" customHeight="1" x14ac:dyDescent="0.2">
      <c r="A3" s="56" t="s">
        <v>2</v>
      </c>
      <c r="B3" s="57"/>
      <c r="C3" s="57"/>
      <c r="D3" s="57"/>
      <c r="E3" s="57"/>
      <c r="F3" s="58"/>
      <c r="G3" s="4"/>
      <c r="H3" s="42" t="s">
        <v>3</v>
      </c>
      <c r="I3" s="42"/>
      <c r="J3" s="42"/>
      <c r="K3" s="42"/>
      <c r="L3" s="42"/>
      <c r="M3" s="42"/>
      <c r="N3" s="42"/>
      <c r="O3" s="42"/>
      <c r="P3" s="42"/>
      <c r="Q3" s="48"/>
      <c r="R3" s="48"/>
    </row>
    <row r="4" spans="1:21" ht="31" customHeight="1" x14ac:dyDescent="0.2">
      <c r="A4" s="56"/>
      <c r="B4" s="38" t="s">
        <v>4</v>
      </c>
      <c r="C4" s="39"/>
      <c r="D4" s="38" t="s">
        <v>5</v>
      </c>
      <c r="E4" s="39"/>
      <c r="F4" s="40" t="s">
        <v>6</v>
      </c>
      <c r="G4" s="41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/>
      <c r="M4" s="42" t="s">
        <v>5</v>
      </c>
      <c r="N4" s="42"/>
      <c r="O4" s="42" t="s">
        <v>12</v>
      </c>
      <c r="P4" s="42"/>
      <c r="Q4" s="42" t="s">
        <v>13</v>
      </c>
      <c r="R4" s="42"/>
    </row>
    <row r="5" spans="1:21" ht="42" x14ac:dyDescent="0.2">
      <c r="A5" s="56"/>
      <c r="B5" s="6" t="s">
        <v>14</v>
      </c>
      <c r="C5" s="6" t="s">
        <v>15</v>
      </c>
      <c r="D5" s="6" t="s">
        <v>14</v>
      </c>
      <c r="E5" s="6" t="s">
        <v>15</v>
      </c>
      <c r="F5" s="40"/>
      <c r="G5" s="41"/>
      <c r="H5" s="42"/>
      <c r="I5" s="42"/>
      <c r="J5" s="42"/>
      <c r="K5" s="5" t="s">
        <v>16</v>
      </c>
      <c r="L5" s="5" t="s">
        <v>17</v>
      </c>
      <c r="M5" s="5" t="s">
        <v>16</v>
      </c>
      <c r="N5" s="5" t="s">
        <v>17</v>
      </c>
      <c r="O5" s="5" t="s">
        <v>16</v>
      </c>
      <c r="P5" s="5" t="s">
        <v>17</v>
      </c>
      <c r="Q5" s="5" t="s">
        <v>18</v>
      </c>
      <c r="R5" s="5" t="s">
        <v>19</v>
      </c>
    </row>
    <row r="6" spans="1:21" ht="43" x14ac:dyDescent="0.2">
      <c r="A6" s="7" t="s">
        <v>20</v>
      </c>
      <c r="B6" s="8">
        <v>10</v>
      </c>
      <c r="C6" s="9">
        <f>10*7300*12</f>
        <v>876000</v>
      </c>
      <c r="D6" s="8">
        <f>27+6</f>
        <v>33</v>
      </c>
      <c r="E6" s="9">
        <f>27*3000*12+6*2300*12</f>
        <v>1137600</v>
      </c>
      <c r="F6" s="9">
        <f>(C6+E6)*12.5/100</f>
        <v>251700</v>
      </c>
      <c r="G6" s="9"/>
      <c r="H6" s="9">
        <v>12801000</v>
      </c>
      <c r="I6" s="9">
        <v>322000</v>
      </c>
      <c r="J6" s="9"/>
      <c r="K6" s="9">
        <f>10*5500</f>
        <v>55000</v>
      </c>
      <c r="L6" s="9">
        <f>5500*10</f>
        <v>55000</v>
      </c>
      <c r="M6" s="9">
        <f>4000*28</f>
        <v>112000</v>
      </c>
      <c r="N6" s="9">
        <f>5500*28</f>
        <v>154000</v>
      </c>
      <c r="O6" s="9">
        <f>20000*8</f>
        <v>160000</v>
      </c>
      <c r="P6" s="9">
        <f>90000*8</f>
        <v>720000</v>
      </c>
      <c r="Q6" s="9">
        <v>50000</v>
      </c>
      <c r="R6" s="9">
        <v>70000</v>
      </c>
    </row>
    <row r="7" spans="1:21" ht="42" x14ac:dyDescent="0.2">
      <c r="A7" s="10" t="s">
        <v>21</v>
      </c>
      <c r="B7" s="8">
        <v>7</v>
      </c>
      <c r="C7" s="9">
        <f>7*7300*12</f>
        <v>613200</v>
      </c>
      <c r="D7" s="8">
        <v>35</v>
      </c>
      <c r="E7" s="9">
        <f>29*3000*12+6*2300*12</f>
        <v>1209600</v>
      </c>
      <c r="F7" s="9">
        <f>(C7+E7)*12.5/100</f>
        <v>227850</v>
      </c>
      <c r="G7" s="9"/>
      <c r="H7" s="9"/>
      <c r="I7" s="9"/>
      <c r="J7" s="9"/>
      <c r="K7" s="9">
        <f>7*5500</f>
        <v>38500</v>
      </c>
      <c r="L7" s="9">
        <f>7*5500</f>
        <v>38500</v>
      </c>
      <c r="M7" s="9">
        <f>4000*30</f>
        <v>120000</v>
      </c>
      <c r="N7" s="9">
        <f>5500*30</f>
        <v>165000</v>
      </c>
      <c r="O7" s="9"/>
      <c r="P7" s="9"/>
      <c r="Q7" s="9"/>
      <c r="R7" s="9"/>
    </row>
    <row r="8" spans="1:21" ht="43" x14ac:dyDescent="0.2">
      <c r="A8" s="7" t="s">
        <v>22</v>
      </c>
      <c r="B8" s="8">
        <v>3</v>
      </c>
      <c r="C8" s="9">
        <f>3*7300*12</f>
        <v>262800</v>
      </c>
      <c r="D8" s="8">
        <v>36</v>
      </c>
      <c r="E8" s="9">
        <f>24*3000*12+12*2300*12</f>
        <v>1195200</v>
      </c>
      <c r="F8" s="9">
        <f>(C8+E8)*12.5/100</f>
        <v>182250</v>
      </c>
      <c r="G8" s="9"/>
      <c r="H8" s="9">
        <v>12801000</v>
      </c>
      <c r="I8" s="9">
        <v>322000</v>
      </c>
      <c r="J8" s="9"/>
      <c r="K8" s="9">
        <f>5500*7</f>
        <v>38500</v>
      </c>
      <c r="L8" s="9">
        <f>5500*7</f>
        <v>38500</v>
      </c>
      <c r="M8" s="9">
        <f>4000*31</f>
        <v>124000</v>
      </c>
      <c r="N8" s="9">
        <f>5500*31</f>
        <v>170500</v>
      </c>
      <c r="O8" s="9">
        <f>20000*8</f>
        <v>160000</v>
      </c>
      <c r="P8" s="9">
        <f>90000*8</f>
        <v>720000</v>
      </c>
      <c r="Q8" s="9">
        <v>50000</v>
      </c>
      <c r="R8" s="9">
        <v>70000</v>
      </c>
    </row>
    <row r="9" spans="1:21" ht="43" x14ac:dyDescent="0.2">
      <c r="A9" s="7" t="s">
        <v>23</v>
      </c>
      <c r="B9" s="8">
        <v>15</v>
      </c>
      <c r="C9" s="9">
        <f>15*7300*12</f>
        <v>1314000</v>
      </c>
      <c r="D9" s="8">
        <v>57</v>
      </c>
      <c r="E9" s="9">
        <f>39*3000*12+18*2300*12</f>
        <v>1900800</v>
      </c>
      <c r="F9" s="9">
        <f>(C9+E9)*12.5/100</f>
        <v>401850</v>
      </c>
      <c r="G9" s="9"/>
      <c r="H9" s="9">
        <v>12801000</v>
      </c>
      <c r="I9" s="9">
        <v>322000</v>
      </c>
      <c r="J9" s="9">
        <v>300000</v>
      </c>
      <c r="K9" s="9">
        <f>15*5500</f>
        <v>82500</v>
      </c>
      <c r="L9" s="9">
        <f>15*5500</f>
        <v>82500</v>
      </c>
      <c r="M9" s="9">
        <f>52*4500</f>
        <v>234000</v>
      </c>
      <c r="N9" s="9">
        <f>52*4500</f>
        <v>234000</v>
      </c>
      <c r="O9" s="9">
        <f>20000*8</f>
        <v>160000</v>
      </c>
      <c r="P9" s="9">
        <f>90000*8</f>
        <v>720000</v>
      </c>
      <c r="Q9" s="9">
        <v>50000</v>
      </c>
      <c r="R9" s="9">
        <v>100000</v>
      </c>
    </row>
    <row r="10" spans="1:21" ht="29" x14ac:dyDescent="0.2">
      <c r="A10" s="7" t="s">
        <v>24</v>
      </c>
      <c r="B10" s="8">
        <v>46</v>
      </c>
      <c r="C10" s="9">
        <f>42*7300*12</f>
        <v>3679200</v>
      </c>
      <c r="D10" s="8">
        <v>496</v>
      </c>
      <c r="E10" s="9">
        <f>300*3000*12+196*2300*12</f>
        <v>16209600</v>
      </c>
      <c r="F10" s="9">
        <f>(C10+E10)*12.5/100</f>
        <v>2486100</v>
      </c>
      <c r="G10" s="9"/>
      <c r="H10" s="9"/>
      <c r="I10" s="9"/>
      <c r="J10" s="9"/>
      <c r="K10" s="9">
        <f>131*5500</f>
        <v>720500</v>
      </c>
      <c r="L10" s="9">
        <f>131*5500</f>
        <v>720500</v>
      </c>
      <c r="M10" s="9">
        <f>490*4500</f>
        <v>2205000</v>
      </c>
      <c r="N10" s="9">
        <f>490*4500</f>
        <v>2205000</v>
      </c>
      <c r="O10" s="9"/>
      <c r="P10" s="9"/>
      <c r="Q10" s="9"/>
      <c r="R10" s="9"/>
    </row>
    <row r="11" spans="1:21" x14ac:dyDescent="0.2">
      <c r="A11" s="11"/>
      <c r="B11" s="12">
        <f t="shared" ref="B11:R11" si="0">SUM(B6:B10)</f>
        <v>81</v>
      </c>
      <c r="C11" s="13">
        <f t="shared" si="0"/>
        <v>6745200</v>
      </c>
      <c r="D11" s="12">
        <f t="shared" si="0"/>
        <v>657</v>
      </c>
      <c r="E11" s="13">
        <f t="shared" si="0"/>
        <v>21652800</v>
      </c>
      <c r="F11" s="13">
        <f t="shared" si="0"/>
        <v>3549750</v>
      </c>
      <c r="G11" s="13">
        <f t="shared" si="0"/>
        <v>0</v>
      </c>
      <c r="H11" s="13">
        <f t="shared" si="0"/>
        <v>38403000</v>
      </c>
      <c r="I11" s="13">
        <f t="shared" si="0"/>
        <v>966000</v>
      </c>
      <c r="J11" s="13">
        <f t="shared" si="0"/>
        <v>300000</v>
      </c>
      <c r="K11" s="13">
        <f t="shared" si="0"/>
        <v>935000</v>
      </c>
      <c r="L11" s="13">
        <f t="shared" si="0"/>
        <v>935000</v>
      </c>
      <c r="M11" s="13">
        <f t="shared" si="0"/>
        <v>2795000</v>
      </c>
      <c r="N11" s="13">
        <f t="shared" si="0"/>
        <v>2928500</v>
      </c>
      <c r="O11" s="13">
        <f t="shared" si="0"/>
        <v>480000</v>
      </c>
      <c r="P11" s="13">
        <f t="shared" si="0"/>
        <v>2160000</v>
      </c>
      <c r="Q11" s="13">
        <f t="shared" si="0"/>
        <v>150000</v>
      </c>
      <c r="R11" s="13">
        <f t="shared" si="0"/>
        <v>240000</v>
      </c>
    </row>
    <row r="12" spans="1:21" ht="42" x14ac:dyDescent="0.2">
      <c r="A12" s="14" t="s">
        <v>25</v>
      </c>
      <c r="B12" s="8">
        <v>28</v>
      </c>
      <c r="C12" s="9">
        <f>28*7300*12</f>
        <v>2452800</v>
      </c>
      <c r="D12" s="8">
        <v>93</v>
      </c>
      <c r="E12" s="9">
        <f>67*3000*12+26*2300*12</f>
        <v>3129600</v>
      </c>
      <c r="F12" s="9">
        <f>(C12+E12)*12.5/100</f>
        <v>697800</v>
      </c>
      <c r="G12" s="9"/>
      <c r="H12" s="9">
        <v>12801000</v>
      </c>
      <c r="I12" s="9">
        <v>322000</v>
      </c>
      <c r="J12" s="9">
        <v>300000</v>
      </c>
      <c r="K12" s="9">
        <f>28*5500</f>
        <v>154000</v>
      </c>
      <c r="L12" s="9">
        <f>28*5500</f>
        <v>154000</v>
      </c>
      <c r="M12" s="9">
        <f>88*4500</f>
        <v>396000</v>
      </c>
      <c r="N12" s="9">
        <f>88*4500</f>
        <v>396000</v>
      </c>
      <c r="O12" s="9">
        <f>8*20000</f>
        <v>160000</v>
      </c>
      <c r="P12" s="9">
        <f t="shared" ref="P12:P13" si="1">90000*8</f>
        <v>720000</v>
      </c>
      <c r="Q12" s="9">
        <v>50000</v>
      </c>
      <c r="R12" s="9">
        <v>100000</v>
      </c>
    </row>
    <row r="13" spans="1:21" ht="28" x14ac:dyDescent="0.2">
      <c r="A13" s="14" t="s">
        <v>26</v>
      </c>
      <c r="B13" s="8">
        <v>21</v>
      </c>
      <c r="C13" s="9">
        <f>21*7300*12</f>
        <v>1839600</v>
      </c>
      <c r="D13" s="8">
        <v>75</v>
      </c>
      <c r="E13" s="9">
        <f>51*3000*12+24*2300*12</f>
        <v>2498400</v>
      </c>
      <c r="F13" s="9">
        <f>(C13+E13)*12.5/100</f>
        <v>542250</v>
      </c>
      <c r="G13" s="9"/>
      <c r="H13" s="9">
        <v>12801000</v>
      </c>
      <c r="I13" s="9">
        <v>322000</v>
      </c>
      <c r="J13" s="9">
        <v>300000</v>
      </c>
      <c r="K13" s="9">
        <f>21*5500</f>
        <v>115500</v>
      </c>
      <c r="L13" s="9">
        <f>21*5500</f>
        <v>115500</v>
      </c>
      <c r="M13" s="9">
        <f>70*4500</f>
        <v>315000</v>
      </c>
      <c r="N13" s="9">
        <f>70*4500</f>
        <v>315000</v>
      </c>
      <c r="O13" s="9">
        <f>8*20000</f>
        <v>160000</v>
      </c>
      <c r="P13" s="9">
        <f t="shared" si="1"/>
        <v>720000</v>
      </c>
      <c r="Q13" s="9">
        <v>50000</v>
      </c>
      <c r="R13" s="9">
        <v>70000</v>
      </c>
    </row>
    <row r="14" spans="1:21" ht="42" x14ac:dyDescent="0.2">
      <c r="A14" s="14" t="s">
        <v>27</v>
      </c>
      <c r="B14" s="15">
        <v>9</v>
      </c>
      <c r="C14" s="9">
        <f>9*7300*12</f>
        <v>788400</v>
      </c>
      <c r="D14" s="15">
        <v>92</v>
      </c>
      <c r="E14" s="9">
        <f>60*3000*12+32*2300*12</f>
        <v>3043200</v>
      </c>
      <c r="F14" s="9">
        <f>(C14+E14)*12.5/100</f>
        <v>478950</v>
      </c>
      <c r="G14" s="9"/>
      <c r="H14" s="9">
        <f>79342500+75342500</f>
        <v>154685000</v>
      </c>
      <c r="I14" s="16">
        <v>3800000</v>
      </c>
      <c r="J14" s="9"/>
      <c r="K14" s="16">
        <f>5500*9</f>
        <v>49500</v>
      </c>
      <c r="L14" s="16">
        <f>5500*9</f>
        <v>49500</v>
      </c>
      <c r="M14" s="16">
        <f>240*4000</f>
        <v>960000</v>
      </c>
      <c r="N14" s="16">
        <f>240*5500</f>
        <v>1320000</v>
      </c>
      <c r="O14" s="16">
        <f>20000*2*40</f>
        <v>1600000</v>
      </c>
      <c r="P14" s="16">
        <f>90000*2*40</f>
        <v>7200000</v>
      </c>
      <c r="Q14" s="16">
        <v>100000</v>
      </c>
      <c r="R14" s="16">
        <v>140000</v>
      </c>
    </row>
    <row r="15" spans="1:21" x14ac:dyDescent="0.2">
      <c r="A15" s="11"/>
      <c r="B15" s="17">
        <f>SUM(B12:B14)</f>
        <v>58</v>
      </c>
      <c r="C15" s="18">
        <f>SUM(C12:C14)</f>
        <v>5080800</v>
      </c>
      <c r="D15" s="17">
        <f>SUM(D12:D14)</f>
        <v>260</v>
      </c>
      <c r="E15" s="18">
        <f>SUM(E12:E14)</f>
        <v>8671200</v>
      </c>
      <c r="F15" s="18">
        <f>SUM(F12:F14)</f>
        <v>1719000</v>
      </c>
      <c r="G15" s="18">
        <v>47175000</v>
      </c>
      <c r="H15" s="18">
        <f t="shared" ref="H15:R15" si="2">SUM(H12:H14)</f>
        <v>180287000</v>
      </c>
      <c r="I15" s="18">
        <f t="shared" si="2"/>
        <v>4444000</v>
      </c>
      <c r="J15" s="18">
        <f t="shared" si="2"/>
        <v>600000</v>
      </c>
      <c r="K15" s="18">
        <f t="shared" si="2"/>
        <v>319000</v>
      </c>
      <c r="L15" s="18">
        <f t="shared" si="2"/>
        <v>319000</v>
      </c>
      <c r="M15" s="18">
        <f t="shared" si="2"/>
        <v>1671000</v>
      </c>
      <c r="N15" s="18">
        <f t="shared" si="2"/>
        <v>2031000</v>
      </c>
      <c r="O15" s="18">
        <f t="shared" si="2"/>
        <v>1920000</v>
      </c>
      <c r="P15" s="18">
        <f t="shared" si="2"/>
        <v>8640000</v>
      </c>
      <c r="Q15" s="18">
        <f t="shared" si="2"/>
        <v>200000</v>
      </c>
      <c r="R15" s="18">
        <f t="shared" si="2"/>
        <v>310000</v>
      </c>
    </row>
    <row r="16" spans="1:21" x14ac:dyDescent="0.2">
      <c r="A16" s="19"/>
      <c r="B16" s="17">
        <f t="shared" ref="B16:R16" si="3">+B11+B15</f>
        <v>139</v>
      </c>
      <c r="C16" s="18">
        <f t="shared" si="3"/>
        <v>11826000</v>
      </c>
      <c r="D16" s="17">
        <f t="shared" si="3"/>
        <v>917</v>
      </c>
      <c r="E16" s="18">
        <f t="shared" si="3"/>
        <v>30324000</v>
      </c>
      <c r="F16" s="18">
        <f t="shared" si="3"/>
        <v>5268750</v>
      </c>
      <c r="G16" s="18">
        <f t="shared" si="3"/>
        <v>47175000</v>
      </c>
      <c r="H16" s="18">
        <f t="shared" si="3"/>
        <v>218690000</v>
      </c>
      <c r="I16" s="18">
        <f t="shared" si="3"/>
        <v>5410000</v>
      </c>
      <c r="J16" s="18">
        <f t="shared" si="3"/>
        <v>900000</v>
      </c>
      <c r="K16" s="18">
        <f t="shared" si="3"/>
        <v>1254000</v>
      </c>
      <c r="L16" s="18">
        <f t="shared" si="3"/>
        <v>1254000</v>
      </c>
      <c r="M16" s="18">
        <f t="shared" si="3"/>
        <v>4466000</v>
      </c>
      <c r="N16" s="18">
        <f t="shared" si="3"/>
        <v>4959500</v>
      </c>
      <c r="O16" s="18">
        <f t="shared" si="3"/>
        <v>2400000</v>
      </c>
      <c r="P16" s="18">
        <f t="shared" si="3"/>
        <v>10800000</v>
      </c>
      <c r="Q16" s="18">
        <f t="shared" si="3"/>
        <v>350000</v>
      </c>
      <c r="R16" s="18">
        <f t="shared" si="3"/>
        <v>550000</v>
      </c>
    </row>
    <row r="17" spans="1:18" x14ac:dyDescent="0.2">
      <c r="A17" s="52" t="s">
        <v>28</v>
      </c>
      <c r="B17" s="53"/>
      <c r="C17" s="53"/>
      <c r="D17" s="53"/>
      <c r="E17" s="53"/>
      <c r="F17" s="20">
        <f>C16+E16+F16</f>
        <v>47418750</v>
      </c>
      <c r="G17" s="54" t="s">
        <v>29</v>
      </c>
      <c r="H17" s="55"/>
      <c r="I17" s="55"/>
      <c r="J17" s="55"/>
      <c r="K17" s="55"/>
      <c r="L17" s="55"/>
      <c r="M17" s="55"/>
      <c r="N17" s="55"/>
      <c r="O17" s="39"/>
      <c r="P17" s="21">
        <f>SUM(G16:P16)</f>
        <v>297308500</v>
      </c>
      <c r="Q17" s="9" t="s">
        <v>30</v>
      </c>
      <c r="R17" s="9">
        <f>Q16+R16</f>
        <v>900000</v>
      </c>
    </row>
    <row r="18" spans="1:18" ht="17" thickBot="1" x14ac:dyDescent="0.25">
      <c r="A18" s="22"/>
      <c r="B18" s="23"/>
      <c r="C18" s="24"/>
      <c r="D18" s="24"/>
      <c r="E18" s="24"/>
      <c r="F18" s="25"/>
      <c r="G18" s="26"/>
      <c r="H18" s="27"/>
      <c r="I18" s="27"/>
      <c r="J18" s="27"/>
      <c r="K18" s="27"/>
      <c r="L18" s="27"/>
      <c r="M18" s="27"/>
      <c r="N18" s="27"/>
      <c r="O18" s="27"/>
      <c r="P18" s="28"/>
      <c r="Q18" s="29"/>
      <c r="R18" s="29"/>
    </row>
    <row r="19" spans="1:18" x14ac:dyDescent="0.2">
      <c r="A19" s="22"/>
      <c r="B19" s="23"/>
      <c r="C19" s="24"/>
      <c r="D19" s="24"/>
      <c r="E19" s="24"/>
      <c r="F19" s="25"/>
      <c r="G19" s="26"/>
      <c r="H19" s="27"/>
      <c r="I19" s="27"/>
      <c r="J19" s="27"/>
      <c r="K19" s="27"/>
      <c r="L19" s="27"/>
      <c r="M19" s="27"/>
      <c r="N19" s="44" t="s">
        <v>28</v>
      </c>
      <c r="O19" s="45"/>
      <c r="P19" s="45"/>
      <c r="Q19" s="45"/>
      <c r="R19" s="30">
        <f>F17</f>
        <v>47418750</v>
      </c>
    </row>
    <row r="20" spans="1:18" ht="15.75" customHeight="1" x14ac:dyDescent="0.2">
      <c r="A20" s="22"/>
      <c r="B20" s="31"/>
      <c r="C20" s="32"/>
      <c r="D20" s="32"/>
      <c r="E20" s="32"/>
      <c r="F20" s="32"/>
      <c r="G20" s="29"/>
      <c r="H20" s="3"/>
      <c r="I20" s="3"/>
      <c r="J20" s="3"/>
      <c r="K20" s="3"/>
      <c r="L20" s="26"/>
      <c r="M20" s="33"/>
      <c r="N20" s="46" t="s">
        <v>29</v>
      </c>
      <c r="O20" s="47"/>
      <c r="P20" s="48"/>
      <c r="Q20" s="48"/>
      <c r="R20" s="34">
        <f>P17</f>
        <v>297308500</v>
      </c>
    </row>
    <row r="21" spans="1:18" x14ac:dyDescent="0.2">
      <c r="A21" s="22"/>
      <c r="B21" s="31"/>
      <c r="C21" s="32"/>
      <c r="D21" s="32"/>
      <c r="E21" s="32"/>
      <c r="F21" s="32"/>
      <c r="G21" s="29"/>
      <c r="H21" s="3"/>
      <c r="I21" s="3"/>
      <c r="J21" s="3"/>
      <c r="K21" s="3"/>
      <c r="L21" s="26"/>
      <c r="M21" s="33"/>
      <c r="N21" s="49" t="s">
        <v>30</v>
      </c>
      <c r="O21" s="48"/>
      <c r="P21" s="48"/>
      <c r="Q21" s="48"/>
      <c r="R21" s="34">
        <f>R17</f>
        <v>900000</v>
      </c>
    </row>
    <row r="22" spans="1:18" ht="17" thickBot="1" x14ac:dyDescent="0.25">
      <c r="A22" s="22"/>
      <c r="B22" s="22"/>
      <c r="C22" s="22"/>
      <c r="D22" s="22"/>
      <c r="E22" s="22"/>
      <c r="F22" s="22"/>
      <c r="G22" s="3"/>
      <c r="H22" s="3"/>
      <c r="I22" s="3"/>
      <c r="J22" s="3"/>
      <c r="K22" s="3"/>
      <c r="L22" s="29"/>
      <c r="M22" s="35"/>
      <c r="N22" s="50" t="s">
        <v>31</v>
      </c>
      <c r="O22" s="51"/>
      <c r="P22" s="51"/>
      <c r="Q22" s="51"/>
      <c r="R22" s="36">
        <f>SUM(R19:R21)</f>
        <v>345627250</v>
      </c>
    </row>
    <row r="23" spans="1:18" x14ac:dyDescent="0.2">
      <c r="A23" s="22"/>
      <c r="B23" s="22"/>
      <c r="C23" s="22"/>
      <c r="D23" s="22"/>
      <c r="E23" s="22"/>
      <c r="F23" s="2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22"/>
      <c r="B24" s="22"/>
      <c r="C24" s="22"/>
      <c r="D24" s="22"/>
      <c r="E24" s="22"/>
      <c r="F24" s="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22"/>
      <c r="B25" s="22"/>
      <c r="C25" s="22"/>
      <c r="D25" s="22"/>
      <c r="E25" s="22"/>
      <c r="F25" s="2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</sheetData>
  <mergeCells count="21">
    <mergeCell ref="A1:R1"/>
    <mergeCell ref="N19:Q19"/>
    <mergeCell ref="N20:Q20"/>
    <mergeCell ref="N21:Q21"/>
    <mergeCell ref="N22:Q22"/>
    <mergeCell ref="J4:J5"/>
    <mergeCell ref="K4:L4"/>
    <mergeCell ref="M4:N4"/>
    <mergeCell ref="O4:P4"/>
    <mergeCell ref="Q4:R4"/>
    <mergeCell ref="A17:E17"/>
    <mergeCell ref="G17:O17"/>
    <mergeCell ref="A3:A5"/>
    <mergeCell ref="B3:F3"/>
    <mergeCell ref="H3:R3"/>
    <mergeCell ref="B4:C4"/>
    <mergeCell ref="D4:E4"/>
    <mergeCell ref="F4:F5"/>
    <mergeCell ref="G4:G5"/>
    <mergeCell ref="H4:H5"/>
    <mergeCell ref="I4:I5"/>
  </mergeCells>
  <pageMargins left="0.7" right="0.7" top="0.75" bottom="0.75" header="0.3" footer="0.3"/>
  <pageSetup paperSize="10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Dulguun</cp:lastModifiedBy>
  <cp:lastPrinted>2023-11-21T04:14:01Z</cp:lastPrinted>
  <dcterms:created xsi:type="dcterms:W3CDTF">2015-06-05T18:17:20Z</dcterms:created>
  <dcterms:modified xsi:type="dcterms:W3CDTF">2023-11-21T04:19:44Z</dcterms:modified>
</cp:coreProperties>
</file>